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2.1" sheetId="1" r:id="rId1"/>
  </sheets>
  <definedNames>
    <definedName name="_xlnm.Print_Area" localSheetId="0">'2.1'!$A$1:$R$46</definedName>
  </definedNames>
  <calcPr calcId="125725"/>
</workbook>
</file>

<file path=xl/calcChain.xml><?xml version="1.0" encoding="utf-8"?>
<calcChain xmlns="http://schemas.openxmlformats.org/spreadsheetml/2006/main">
  <c r="E38" i="1"/>
  <c r="Q37"/>
  <c r="L37"/>
  <c r="I37"/>
  <c r="J37" s="1"/>
  <c r="P36"/>
  <c r="Q36" s="1"/>
  <c r="N36"/>
  <c r="O36" s="1"/>
  <c r="L36"/>
  <c r="J36"/>
  <c r="I36"/>
  <c r="G36"/>
  <c r="F36"/>
  <c r="Q35"/>
  <c r="P35"/>
  <c r="L35"/>
  <c r="I35"/>
  <c r="J35" s="1"/>
  <c r="Q34"/>
  <c r="O34"/>
  <c r="L34"/>
  <c r="J34"/>
  <c r="I34"/>
  <c r="F34" s="1"/>
  <c r="G34" s="1"/>
  <c r="Q33"/>
  <c r="P33"/>
  <c r="L33"/>
  <c r="I33"/>
  <c r="J33" s="1"/>
  <c r="F33"/>
  <c r="G33" s="1"/>
  <c r="Q32"/>
  <c r="L32"/>
  <c r="I32"/>
  <c r="J32" s="1"/>
  <c r="P31"/>
  <c r="Q31" s="1"/>
  <c r="O31"/>
  <c r="L31"/>
  <c r="I31"/>
  <c r="J31" s="1"/>
  <c r="P30"/>
  <c r="Q30" s="1"/>
  <c r="L30"/>
  <c r="J30"/>
  <c r="I30"/>
  <c r="G30"/>
  <c r="F30"/>
  <c r="Q29"/>
  <c r="N29"/>
  <c r="O29" s="1"/>
  <c r="K29"/>
  <c r="L29" s="1"/>
  <c r="I29"/>
  <c r="J29" s="1"/>
  <c r="P28"/>
  <c r="Q28" s="1"/>
  <c r="L28"/>
  <c r="J28"/>
  <c r="I28"/>
  <c r="G28"/>
  <c r="F28"/>
  <c r="Q27"/>
  <c r="O27"/>
  <c r="L27"/>
  <c r="I27"/>
  <c r="J27" s="1"/>
  <c r="F27"/>
  <c r="G27" s="1"/>
  <c r="Q26"/>
  <c r="O26"/>
  <c r="L26"/>
  <c r="J26"/>
  <c r="I26"/>
  <c r="F26" s="1"/>
  <c r="G26" s="1"/>
  <c r="Q25"/>
  <c r="L25"/>
  <c r="J25"/>
  <c r="I25"/>
  <c r="G25"/>
  <c r="F25"/>
  <c r="Q24"/>
  <c r="O24"/>
  <c r="J24"/>
  <c r="I24"/>
  <c r="F24" s="1"/>
  <c r="G24" s="1"/>
  <c r="Q23"/>
  <c r="O23"/>
  <c r="L23"/>
  <c r="I23"/>
  <c r="J23" s="1"/>
  <c r="Q22"/>
  <c r="L22"/>
  <c r="I22"/>
  <c r="J22" s="1"/>
  <c r="F22"/>
  <c r="G22" s="1"/>
  <c r="Q21"/>
  <c r="O21"/>
  <c r="K21"/>
  <c r="L21" s="1"/>
  <c r="I21"/>
  <c r="J21" s="1"/>
  <c r="F21"/>
  <c r="G21" s="1"/>
  <c r="P20"/>
  <c r="Q20" s="1"/>
  <c r="O20"/>
  <c r="L20"/>
  <c r="K20"/>
  <c r="K38" s="1"/>
  <c r="L38" s="1"/>
  <c r="J20"/>
  <c r="I20"/>
  <c r="G20"/>
  <c r="F20"/>
  <c r="Q19"/>
  <c r="P19"/>
  <c r="L19"/>
  <c r="I19"/>
  <c r="J19" s="1"/>
  <c r="F19"/>
  <c r="G19" s="1"/>
  <c r="Q18"/>
  <c r="O18"/>
  <c r="L18"/>
  <c r="J18"/>
  <c r="I18"/>
  <c r="F18" s="1"/>
  <c r="G18" s="1"/>
  <c r="Q17"/>
  <c r="L17"/>
  <c r="J17"/>
  <c r="I17"/>
  <c r="G17"/>
  <c r="F17"/>
  <c r="Q16"/>
  <c r="P16"/>
  <c r="O16"/>
  <c r="N16"/>
  <c r="L16"/>
  <c r="I16"/>
  <c r="J16" s="1"/>
  <c r="P15"/>
  <c r="Q15" s="1"/>
  <c r="L15"/>
  <c r="J15"/>
  <c r="I15"/>
  <c r="G15"/>
  <c r="F15"/>
  <c r="Q14"/>
  <c r="O14"/>
  <c r="L14"/>
  <c r="I14"/>
  <c r="J14" s="1"/>
  <c r="F14"/>
  <c r="G14" s="1"/>
  <c r="Q13"/>
  <c r="O13"/>
  <c r="N13"/>
  <c r="N38" s="1"/>
  <c r="O38" s="1"/>
  <c r="L13"/>
  <c r="I13"/>
  <c r="J13" s="1"/>
  <c r="F13"/>
  <c r="G13" s="1"/>
  <c r="Q12"/>
  <c r="P12"/>
  <c r="P38" s="1"/>
  <c r="Q38" s="1"/>
  <c r="L12"/>
  <c r="J12"/>
  <c r="I12"/>
  <c r="I38" s="1"/>
  <c r="J38" s="1"/>
  <c r="F16" l="1"/>
  <c r="G16" s="1"/>
  <c r="F23"/>
  <c r="G23" s="1"/>
  <c r="F29"/>
  <c r="G29" s="1"/>
  <c r="F31"/>
  <c r="G31" s="1"/>
  <c r="F32"/>
  <c r="G32" s="1"/>
  <c r="F35"/>
  <c r="G35" s="1"/>
  <c r="F37"/>
  <c r="G37" s="1"/>
  <c r="F12"/>
  <c r="F38" l="1"/>
  <c r="G38" s="1"/>
  <c r="G12"/>
</calcChain>
</file>

<file path=xl/sharedStrings.xml><?xml version="1.0" encoding="utf-8"?>
<sst xmlns="http://schemas.openxmlformats.org/spreadsheetml/2006/main" count="90" uniqueCount="82">
  <si>
    <t>Форма 2.1. (ОУ)</t>
  </si>
  <si>
    <t>ДОКУМЕНТИРОВАННАЯ ИНФОРМАЦИЯ О ВИДАХ, МЕСТОПОЛОЖЕНИИ, ГРАНИЦАХ,</t>
  </si>
  <si>
    <t>ПРИНАДЛЕЖНОСТИ И СОСТОЯНИИ ОХОТНИЧЬИХ УГОДИЙ</t>
  </si>
  <si>
    <t>по состоянию на " 01 " января 2022 года</t>
  </si>
  <si>
    <t>Наименование субъекта Российской Федерации:  Вологодская область</t>
  </si>
  <si>
    <t xml:space="preserve">Наименование органа исполнительной власти субъекта Российской Федерации:  Департамент по охране, контролю и регулированию использования объектов животного мира                                                                   Вологодской области </t>
  </si>
  <si>
    <t>№                                      п/п</t>
  </si>
  <si>
    <t>Наименование муниципального района</t>
  </si>
  <si>
    <t>Общая площадь муниципального района, тыс. га</t>
  </si>
  <si>
    <t>Общая площадь охотничьих угодий</t>
  </si>
  <si>
    <t>Площадь общедоступных охотничьих угодий</t>
  </si>
  <si>
    <t>Площадь закрепленных охотничьих угодий</t>
  </si>
  <si>
    <t>Площадь особо охраняемых природных территорий</t>
  </si>
  <si>
    <t>Площадь иных территорий, являющихся средой обитания охотничьих ресурсов</t>
  </si>
  <si>
    <t>тыс. га</t>
  </si>
  <si>
    <t>% от общей площади муниципального района</t>
  </si>
  <si>
    <t>1.</t>
  </si>
  <si>
    <t>Бабаевский</t>
  </si>
  <si>
    <t>2.</t>
  </si>
  <si>
    <t>Бабушкинский</t>
  </si>
  <si>
    <t>3.</t>
  </si>
  <si>
    <t>Белозерский*</t>
  </si>
  <si>
    <t>4.</t>
  </si>
  <si>
    <t>Вашкинский*</t>
  </si>
  <si>
    <t>5.</t>
  </si>
  <si>
    <t xml:space="preserve">Великоустюгский </t>
  </si>
  <si>
    <t>6.</t>
  </si>
  <si>
    <t xml:space="preserve">Верховажский </t>
  </si>
  <si>
    <t>7.</t>
  </si>
  <si>
    <t>Вожегодский*</t>
  </si>
  <si>
    <t>8.</t>
  </si>
  <si>
    <t>Вологодский*</t>
  </si>
  <si>
    <t>9.</t>
  </si>
  <si>
    <t>Вытегорский*</t>
  </si>
  <si>
    <t>10.</t>
  </si>
  <si>
    <t>Грязовецкий</t>
  </si>
  <si>
    <t>11.</t>
  </si>
  <si>
    <t>Кадуйский</t>
  </si>
  <si>
    <t>12.</t>
  </si>
  <si>
    <t>Кирилловский*</t>
  </si>
  <si>
    <t>13.</t>
  </si>
  <si>
    <t xml:space="preserve">Кичм.-Городецкий </t>
  </si>
  <si>
    <t>-</t>
  </si>
  <si>
    <t>14.</t>
  </si>
  <si>
    <t xml:space="preserve">Междуреченский </t>
  </si>
  <si>
    <t>15.</t>
  </si>
  <si>
    <t xml:space="preserve">Никольский </t>
  </si>
  <si>
    <t>16.</t>
  </si>
  <si>
    <t xml:space="preserve">Нюксенский </t>
  </si>
  <si>
    <t>17.</t>
  </si>
  <si>
    <t xml:space="preserve">Сокольский </t>
  </si>
  <si>
    <t>18.</t>
  </si>
  <si>
    <t xml:space="preserve">Сямженский </t>
  </si>
  <si>
    <t>19.</t>
  </si>
  <si>
    <t xml:space="preserve">Тарногский </t>
  </si>
  <si>
    <t>20.</t>
  </si>
  <si>
    <t xml:space="preserve">Тотемский </t>
  </si>
  <si>
    <t>21.</t>
  </si>
  <si>
    <t>Усть-Кубинский*</t>
  </si>
  <si>
    <t>22.</t>
  </si>
  <si>
    <t xml:space="preserve">Устюженский </t>
  </si>
  <si>
    <t>23.</t>
  </si>
  <si>
    <t xml:space="preserve">Харовский </t>
  </si>
  <si>
    <t>24.</t>
  </si>
  <si>
    <t xml:space="preserve">Чагодощенский </t>
  </si>
  <si>
    <t>25.</t>
  </si>
  <si>
    <t>Череповецкий*</t>
  </si>
  <si>
    <t>26.</t>
  </si>
  <si>
    <t xml:space="preserve">Шекснинский </t>
  </si>
  <si>
    <t>Итого по Вологодской области*:</t>
  </si>
  <si>
    <t xml:space="preserve">* - в площади района учтена площадь межрайонного озера     </t>
  </si>
  <si>
    <t>** - площадь области с учетом межрайонных озер</t>
  </si>
  <si>
    <t>Лицо, ответственное за заполнение формы:</t>
  </si>
  <si>
    <r>
      <rPr>
        <u/>
        <sz val="11"/>
        <rFont val="Times New Roman"/>
      </rPr>
      <t xml:space="preserve">Главный специалист </t>
    </r>
  </si>
  <si>
    <r>
      <rPr>
        <u/>
        <sz val="13"/>
        <rFont val="Times New Roman"/>
      </rPr>
      <t>М.Е. Белова</t>
    </r>
  </si>
  <si>
    <t>(должность)</t>
  </si>
  <si>
    <t>(Ф.И.О.)</t>
  </si>
  <si>
    <t>(подпись)</t>
  </si>
  <si>
    <r>
      <rPr>
        <u/>
        <sz val="12"/>
        <rFont val="Times New Roman"/>
      </rPr>
      <t>8 (8172) 23-01-91, доб. 0424</t>
    </r>
  </si>
  <si>
    <r>
      <rPr>
        <u/>
        <sz val="12"/>
        <rFont val="Times New Roman"/>
      </rPr>
      <t>15.08.2022 г.</t>
    </r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</si>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</sst>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"/>
    <numFmt numFmtId="166" formatCode="0.00000"/>
    <numFmt numFmtId="167" formatCode="0.0000"/>
    <numFmt numFmtId="168" formatCode="0.0000000"/>
  </numFmts>
  <fonts count="13">
    <font>
      <sz val="11"/>
      <name val="Calibri"/>
    </font>
    <font>
      <sz val="10"/>
      <name val="Arial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1"/>
      <name val="Times New Roman"/>
    </font>
    <font>
      <sz val="9"/>
      <name val="Times New Roman"/>
    </font>
    <font>
      <sz val="13"/>
      <name val="Times New Roman"/>
    </font>
    <font>
      <sz val="14"/>
      <name val="Times New Roman"/>
    </font>
    <font>
      <b/>
      <sz val="13"/>
      <name val="Times New Roman"/>
    </font>
    <font>
      <u/>
      <sz val="11"/>
      <name val="Times New Roman"/>
    </font>
    <font>
      <u/>
      <sz val="13"/>
      <name val="Times New Roman"/>
    </font>
    <font>
      <u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0" fontId="2" fillId="0" borderId="0" xfId="0" applyNumberFormat="1" applyFont="1"/>
    <xf numFmtId="0" fontId="4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3" borderId="0" xfId="0" applyNumberFormat="1" applyFont="1" applyFill="1"/>
    <xf numFmtId="167" fontId="6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5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NumberFormat="1" applyFont="1"/>
    <xf numFmtId="0" fontId="2" fillId="0" borderId="9" xfId="0" applyNumberFormat="1" applyFont="1" applyBorder="1"/>
    <xf numFmtId="0" fontId="5" fillId="0" borderId="0" xfId="0" applyNumberFormat="1" applyFont="1"/>
    <xf numFmtId="0" fontId="2" fillId="0" borderId="0" xfId="0" applyNumberFormat="1" applyFont="1" applyAlignment="1">
      <alignment horizontal="center" vertical="top"/>
    </xf>
    <xf numFmtId="0" fontId="4" fillId="0" borderId="0" xfId="0" applyNumberFormat="1" applyFont="1"/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left" vertical="top" wrapText="1"/>
    </xf>
    <xf numFmtId="0" fontId="2" fillId="2" borderId="0" xfId="0" applyNumberFormat="1" applyFont="1" applyFill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top"/>
    </xf>
    <xf numFmtId="0" fontId="10" fillId="0" borderId="0" xfId="0" applyNumberFormat="1" applyFont="1" applyAlignment="1">
      <alignment horizontal="center" wrapText="1"/>
    </xf>
    <xf numFmtId="0" fontId="11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65"/>
  <sheetViews>
    <sheetView tabSelected="1" workbookViewId="0"/>
  </sheetViews>
  <sheetFormatPr defaultColWidth="9" defaultRowHeight="12.75"/>
  <cols>
    <col min="1" max="1" width="5" customWidth="1"/>
    <col min="2" max="2" width="10.5703125" customWidth="1"/>
    <col min="3" max="3" width="7.7109375" customWidth="1"/>
    <col min="4" max="4" width="7" customWidth="1"/>
    <col min="5" max="5" width="15.5703125" customWidth="1"/>
    <col min="6" max="6" width="9.140625" customWidth="1"/>
    <col min="7" max="8" width="6.140625" customWidth="1"/>
    <col min="9" max="9" width="13.28515625" customWidth="1"/>
    <col min="10" max="10" width="10.7109375" customWidth="1"/>
    <col min="11" max="11" width="14.28515625" customWidth="1"/>
    <col min="12" max="12" width="9" customWidth="1"/>
    <col min="13" max="13" width="7.42578125" customWidth="1"/>
    <col min="14" max="14" width="11.28515625" customWidth="1"/>
    <col min="15" max="15" width="10.85546875" customWidth="1"/>
    <col min="16" max="16" width="11.140625" customWidth="1"/>
    <col min="17" max="17" width="9" bestFit="1" customWidth="1"/>
    <col min="18" max="18" width="1.85546875" customWidth="1"/>
    <col min="19" max="20" width="9" bestFit="1" customWidth="1"/>
    <col min="21" max="21" width="11.5703125" customWidth="1"/>
    <col min="22" max="22" width="9" bestFit="1" customWidth="1"/>
  </cols>
  <sheetData>
    <row r="1" spans="1:23" ht="15.75">
      <c r="A1" s="1"/>
      <c r="B1" s="1"/>
      <c r="C1" s="1"/>
      <c r="D1" s="1"/>
      <c r="E1" s="1"/>
      <c r="F1" s="1"/>
      <c r="G1" s="1"/>
      <c r="H1" s="1"/>
      <c r="I1" s="1"/>
      <c r="J1" s="1"/>
      <c r="K1" s="36"/>
      <c r="L1" s="36"/>
      <c r="M1" s="36"/>
      <c r="N1" s="1"/>
      <c r="O1" s="1"/>
      <c r="P1" s="1"/>
      <c r="Q1" s="1"/>
      <c r="R1" s="2" t="s">
        <v>0</v>
      </c>
    </row>
    <row r="2" spans="1:23" ht="18.7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23" ht="15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3" ht="15.75">
      <c r="A4" s="3"/>
      <c r="B4" s="3"/>
      <c r="C4" s="3"/>
      <c r="D4" s="3"/>
      <c r="E4" s="3"/>
      <c r="F4" s="38" t="s">
        <v>3</v>
      </c>
      <c r="G4" s="38"/>
      <c r="H4" s="38"/>
      <c r="I4" s="38"/>
      <c r="J4" s="38"/>
      <c r="K4" s="38"/>
      <c r="L4" s="38"/>
      <c r="M4" s="38"/>
      <c r="N4" s="3"/>
      <c r="O4" s="3"/>
      <c r="P4" s="3"/>
      <c r="Q4" s="3"/>
      <c r="R4" s="3"/>
    </row>
    <row r="5" spans="1:23" ht="9.949999999999999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3" ht="17.25" customHeight="1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23" ht="30" customHeight="1">
      <c r="A7" s="40" t="s">
        <v>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23" ht="8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3" ht="56.25" customHeight="1">
      <c r="A9" s="42" t="s">
        <v>6</v>
      </c>
      <c r="B9" s="42" t="s">
        <v>7</v>
      </c>
      <c r="C9" s="51"/>
      <c r="D9" s="52"/>
      <c r="E9" s="56" t="s">
        <v>8</v>
      </c>
      <c r="F9" s="42" t="s">
        <v>9</v>
      </c>
      <c r="G9" s="43"/>
      <c r="H9" s="44"/>
      <c r="I9" s="42" t="s">
        <v>10</v>
      </c>
      <c r="J9" s="44"/>
      <c r="K9" s="42" t="s">
        <v>11</v>
      </c>
      <c r="L9" s="43"/>
      <c r="M9" s="44"/>
      <c r="N9" s="42" t="s">
        <v>12</v>
      </c>
      <c r="O9" s="44"/>
      <c r="P9" s="45" t="s">
        <v>13</v>
      </c>
      <c r="Q9" s="46"/>
      <c r="R9" s="47"/>
      <c r="U9" s="41"/>
      <c r="V9" s="41"/>
      <c r="W9" s="41"/>
    </row>
    <row r="10" spans="1:23" ht="53.25" customHeight="1">
      <c r="A10" s="50"/>
      <c r="B10" s="53"/>
      <c r="C10" s="54"/>
      <c r="D10" s="55"/>
      <c r="E10" s="57"/>
      <c r="F10" s="4" t="s">
        <v>14</v>
      </c>
      <c r="G10" s="48" t="s">
        <v>15</v>
      </c>
      <c r="H10" s="49"/>
      <c r="I10" s="4" t="s">
        <v>14</v>
      </c>
      <c r="J10" s="4" t="s">
        <v>15</v>
      </c>
      <c r="K10" s="4" t="s">
        <v>14</v>
      </c>
      <c r="L10" s="48" t="s">
        <v>15</v>
      </c>
      <c r="M10" s="49"/>
      <c r="N10" s="4" t="s">
        <v>14</v>
      </c>
      <c r="O10" s="4" t="s">
        <v>15</v>
      </c>
      <c r="P10" s="4" t="s">
        <v>14</v>
      </c>
      <c r="Q10" s="48" t="s">
        <v>15</v>
      </c>
      <c r="R10" s="49"/>
      <c r="S10" s="5"/>
      <c r="T10" s="6"/>
      <c r="U10" s="6"/>
      <c r="V10" s="74"/>
      <c r="W10" s="74"/>
    </row>
    <row r="11" spans="1:23" s="7" customFormat="1">
      <c r="A11" s="8">
        <v>1</v>
      </c>
      <c r="B11" s="58">
        <v>2</v>
      </c>
      <c r="C11" s="70"/>
      <c r="D11" s="59"/>
      <c r="E11" s="8">
        <v>3</v>
      </c>
      <c r="F11" s="8">
        <v>4</v>
      </c>
      <c r="G11" s="58">
        <v>5</v>
      </c>
      <c r="H11" s="59"/>
      <c r="I11" s="8">
        <v>6</v>
      </c>
      <c r="J11" s="8">
        <v>7</v>
      </c>
      <c r="K11" s="8">
        <v>8</v>
      </c>
      <c r="L11" s="58">
        <v>9</v>
      </c>
      <c r="M11" s="59"/>
      <c r="N11" s="8">
        <v>10</v>
      </c>
      <c r="O11" s="8">
        <v>11</v>
      </c>
      <c r="P11" s="8">
        <v>12</v>
      </c>
      <c r="Q11" s="58">
        <v>13</v>
      </c>
      <c r="R11" s="59"/>
      <c r="U11" s="9"/>
      <c r="V11" s="75"/>
      <c r="W11" s="75"/>
    </row>
    <row r="12" spans="1:23" ht="15">
      <c r="A12" s="10" t="s">
        <v>16</v>
      </c>
      <c r="B12" s="71" t="s">
        <v>17</v>
      </c>
      <c r="C12" s="72"/>
      <c r="D12" s="73"/>
      <c r="E12" s="11">
        <v>923.33</v>
      </c>
      <c r="F12" s="12">
        <f t="shared" ref="F12:F37" si="0">I12+K12</f>
        <v>923.279</v>
      </c>
      <c r="G12" s="77">
        <f t="shared" ref="G12:G38" si="1">F12*100/E12</f>
        <v>99.99447651435564</v>
      </c>
      <c r="H12" s="78"/>
      <c r="I12" s="13">
        <f>376.832+7.131</f>
        <v>383.96299999999997</v>
      </c>
      <c r="J12" s="14">
        <f t="shared" ref="J12:J38" si="2">I12*100/E12</f>
        <v>41.584590558088649</v>
      </c>
      <c r="K12" s="15">
        <v>539.31600000000003</v>
      </c>
      <c r="L12" s="60">
        <f t="shared" ref="L12:L23" si="3">K12*100/E12</f>
        <v>58.409885956266997</v>
      </c>
      <c r="M12" s="61"/>
      <c r="N12" s="10">
        <v>0</v>
      </c>
      <c r="O12" s="14">
        <v>0</v>
      </c>
      <c r="P12" s="10">
        <f>0.051</f>
        <v>5.0999999999999997E-2</v>
      </c>
      <c r="Q12" s="60">
        <f t="shared" ref="Q12:Q38" si="4">P12*100/E12</f>
        <v>5.5234856443525061E-3</v>
      </c>
      <c r="R12" s="61"/>
      <c r="S12" s="16"/>
      <c r="U12" s="17"/>
      <c r="V12" s="76"/>
      <c r="W12" s="76"/>
    </row>
    <row r="13" spans="1:23" ht="15">
      <c r="A13" s="10" t="s">
        <v>18</v>
      </c>
      <c r="B13" s="71" t="s">
        <v>19</v>
      </c>
      <c r="C13" s="72"/>
      <c r="D13" s="73"/>
      <c r="E13" s="11">
        <v>776.05</v>
      </c>
      <c r="F13" s="12">
        <f t="shared" si="0"/>
        <v>746.71400000000006</v>
      </c>
      <c r="G13" s="77">
        <f t="shared" si="1"/>
        <v>96.21983119644355</v>
      </c>
      <c r="H13" s="78"/>
      <c r="I13" s="13">
        <f>358.716+2.511</f>
        <v>361.22700000000003</v>
      </c>
      <c r="J13" s="14">
        <f t="shared" si="2"/>
        <v>46.546871979898214</v>
      </c>
      <c r="K13" s="15">
        <v>385.48700000000002</v>
      </c>
      <c r="L13" s="60">
        <f t="shared" si="3"/>
        <v>49.672959216545337</v>
      </c>
      <c r="M13" s="61"/>
      <c r="N13" s="10">
        <f>4.836+24.5</f>
        <v>29.335999999999999</v>
      </c>
      <c r="O13" s="14">
        <f>N13*100/E13</f>
        <v>3.7801688035564718</v>
      </c>
      <c r="P13" s="10">
        <v>0</v>
      </c>
      <c r="Q13" s="60">
        <f t="shared" si="4"/>
        <v>0</v>
      </c>
      <c r="R13" s="61"/>
      <c r="S13" s="16"/>
      <c r="U13" s="17"/>
      <c r="V13" s="76"/>
      <c r="W13" s="76"/>
    </row>
    <row r="14" spans="1:23" ht="15">
      <c r="A14" s="10" t="s">
        <v>20</v>
      </c>
      <c r="B14" s="71" t="s">
        <v>21</v>
      </c>
      <c r="C14" s="72"/>
      <c r="D14" s="73"/>
      <c r="E14" s="11">
        <v>595.80799999999999</v>
      </c>
      <c r="F14" s="12">
        <f t="shared" si="0"/>
        <v>564.11300000000006</v>
      </c>
      <c r="G14" s="77">
        <f t="shared" si="1"/>
        <v>94.680333261721898</v>
      </c>
      <c r="H14" s="78"/>
      <c r="I14" s="13">
        <f>348.153+4.11</f>
        <v>352.26300000000003</v>
      </c>
      <c r="J14" s="14">
        <f t="shared" si="2"/>
        <v>59.123576722702623</v>
      </c>
      <c r="K14" s="13">
        <v>211.85</v>
      </c>
      <c r="L14" s="60">
        <f t="shared" si="3"/>
        <v>35.556756539019283</v>
      </c>
      <c r="M14" s="61"/>
      <c r="N14" s="10">
        <v>31.695</v>
      </c>
      <c r="O14" s="14">
        <f>N14*100/E14</f>
        <v>5.3196667382781033</v>
      </c>
      <c r="P14" s="10">
        <v>0</v>
      </c>
      <c r="Q14" s="60">
        <f t="shared" si="4"/>
        <v>0</v>
      </c>
      <c r="R14" s="61"/>
      <c r="S14" s="16"/>
      <c r="U14" s="17"/>
      <c r="V14" s="76"/>
      <c r="W14" s="76"/>
    </row>
    <row r="15" spans="1:23" ht="15">
      <c r="A15" s="10" t="s">
        <v>22</v>
      </c>
      <c r="B15" s="71" t="s">
        <v>23</v>
      </c>
      <c r="C15" s="72"/>
      <c r="D15" s="73"/>
      <c r="E15" s="11">
        <v>355.89100000000002</v>
      </c>
      <c r="F15" s="12">
        <f t="shared" si="0"/>
        <v>355.61699999999996</v>
      </c>
      <c r="G15" s="77">
        <f t="shared" si="1"/>
        <v>99.923010135125622</v>
      </c>
      <c r="H15" s="78"/>
      <c r="I15" s="13">
        <f>180.864+0.79</f>
        <v>181.654</v>
      </c>
      <c r="J15" s="14">
        <f t="shared" si="2"/>
        <v>51.042032532432685</v>
      </c>
      <c r="K15" s="15">
        <v>173.96299999999999</v>
      </c>
      <c r="L15" s="60">
        <f t="shared" si="3"/>
        <v>48.880977602692951</v>
      </c>
      <c r="M15" s="61"/>
      <c r="N15" s="10">
        <v>0</v>
      </c>
      <c r="O15" s="14">
        <v>0</v>
      </c>
      <c r="P15" s="10">
        <f>0.274</f>
        <v>0.27400000000000002</v>
      </c>
      <c r="Q15" s="60">
        <f t="shared" si="4"/>
        <v>7.6989864874357605E-2</v>
      </c>
      <c r="R15" s="61"/>
      <c r="S15" s="16"/>
      <c r="U15" s="17"/>
      <c r="V15" s="76"/>
      <c r="W15" s="76"/>
    </row>
    <row r="16" spans="1:23" ht="15">
      <c r="A16" s="10" t="s">
        <v>24</v>
      </c>
      <c r="B16" s="71" t="s">
        <v>25</v>
      </c>
      <c r="C16" s="72"/>
      <c r="D16" s="73"/>
      <c r="E16" s="11">
        <v>773.28800000000001</v>
      </c>
      <c r="F16" s="19">
        <f t="shared" si="0"/>
        <v>747.02800000000002</v>
      </c>
      <c r="G16" s="60">
        <f t="shared" si="1"/>
        <v>96.604111275488563</v>
      </c>
      <c r="H16" s="61"/>
      <c r="I16" s="15">
        <f>314.4246+10.739</f>
        <v>325.16359999999997</v>
      </c>
      <c r="J16" s="14">
        <f t="shared" si="2"/>
        <v>42.049482211026159</v>
      </c>
      <c r="K16" s="15">
        <v>421.86439999999999</v>
      </c>
      <c r="L16" s="60">
        <f t="shared" si="3"/>
        <v>54.554629064462404</v>
      </c>
      <c r="M16" s="61"/>
      <c r="N16" s="10">
        <f>4.656+20.99</f>
        <v>25.645999999999997</v>
      </c>
      <c r="O16" s="14">
        <f>N16*100/E16</f>
        <v>3.3164875182338274</v>
      </c>
      <c r="P16" s="10">
        <f>0.614</f>
        <v>0.61399999999999999</v>
      </c>
      <c r="Q16" s="60">
        <f t="shared" si="4"/>
        <v>7.9401206277609368E-2</v>
      </c>
      <c r="R16" s="61"/>
      <c r="S16" s="16"/>
      <c r="U16" s="17"/>
      <c r="V16" s="76"/>
      <c r="W16" s="76"/>
    </row>
    <row r="17" spans="1:23" ht="15">
      <c r="A17" s="10" t="s">
        <v>26</v>
      </c>
      <c r="B17" s="71" t="s">
        <v>27</v>
      </c>
      <c r="C17" s="72"/>
      <c r="D17" s="73"/>
      <c r="E17" s="11">
        <v>425.54700000000003</v>
      </c>
      <c r="F17" s="19">
        <f t="shared" si="0"/>
        <v>425.54699999999997</v>
      </c>
      <c r="G17" s="60">
        <f t="shared" si="1"/>
        <v>99.999999999999986</v>
      </c>
      <c r="H17" s="61"/>
      <c r="I17" s="15">
        <f>88.662+0.379</f>
        <v>89.041000000000011</v>
      </c>
      <c r="J17" s="14">
        <f t="shared" si="2"/>
        <v>20.92389324798436</v>
      </c>
      <c r="K17" s="15">
        <v>336.50599999999997</v>
      </c>
      <c r="L17" s="60">
        <f t="shared" si="3"/>
        <v>79.076106752015633</v>
      </c>
      <c r="M17" s="61"/>
      <c r="N17" s="10">
        <v>0</v>
      </c>
      <c r="O17" s="14">
        <v>0</v>
      </c>
      <c r="P17" s="10">
        <v>0</v>
      </c>
      <c r="Q17" s="60">
        <f t="shared" si="4"/>
        <v>0</v>
      </c>
      <c r="R17" s="61"/>
      <c r="S17" s="16"/>
      <c r="U17" s="17"/>
      <c r="V17" s="76"/>
      <c r="W17" s="76"/>
    </row>
    <row r="18" spans="1:23" ht="15">
      <c r="A18" s="10" t="s">
        <v>28</v>
      </c>
      <c r="B18" s="71" t="s">
        <v>29</v>
      </c>
      <c r="C18" s="72"/>
      <c r="D18" s="73"/>
      <c r="E18" s="11">
        <v>584.33699999999999</v>
      </c>
      <c r="F18" s="19">
        <f t="shared" si="0"/>
        <v>584.33699999999999</v>
      </c>
      <c r="G18" s="60">
        <f t="shared" si="1"/>
        <v>100</v>
      </c>
      <c r="H18" s="61"/>
      <c r="I18" s="15">
        <f>431.3995+4.134</f>
        <v>435.5335</v>
      </c>
      <c r="J18" s="14">
        <f t="shared" si="2"/>
        <v>74.534643536178606</v>
      </c>
      <c r="K18" s="15">
        <v>148.80350000000001</v>
      </c>
      <c r="L18" s="60">
        <f t="shared" si="3"/>
        <v>25.465356463821394</v>
      </c>
      <c r="M18" s="61"/>
      <c r="N18" s="10">
        <v>0</v>
      </c>
      <c r="O18" s="14">
        <f>N18*100/E18</f>
        <v>0</v>
      </c>
      <c r="P18" s="10">
        <v>0</v>
      </c>
      <c r="Q18" s="60">
        <f t="shared" si="4"/>
        <v>0</v>
      </c>
      <c r="R18" s="61"/>
      <c r="S18" s="16"/>
      <c r="U18" s="17"/>
      <c r="V18" s="76"/>
      <c r="W18" s="76"/>
    </row>
    <row r="19" spans="1:23" ht="15">
      <c r="A19" s="10" t="s">
        <v>30</v>
      </c>
      <c r="B19" s="71" t="s">
        <v>31</v>
      </c>
      <c r="C19" s="72"/>
      <c r="D19" s="73"/>
      <c r="E19" s="11">
        <v>492.226</v>
      </c>
      <c r="F19" s="19">
        <f t="shared" si="0"/>
        <v>488.46899999999999</v>
      </c>
      <c r="G19" s="60">
        <f t="shared" si="1"/>
        <v>99.23673272033578</v>
      </c>
      <c r="H19" s="61"/>
      <c r="I19" s="15">
        <f>186.641+62.738</f>
        <v>249.37899999999999</v>
      </c>
      <c r="J19" s="14">
        <f t="shared" si="2"/>
        <v>50.663516352244699</v>
      </c>
      <c r="K19" s="15">
        <v>239.09</v>
      </c>
      <c r="L19" s="60">
        <f t="shared" si="3"/>
        <v>48.573216368091082</v>
      </c>
      <c r="M19" s="61"/>
      <c r="N19" s="10">
        <v>0.64700000000000002</v>
      </c>
      <c r="O19" s="14">
        <v>0</v>
      </c>
      <c r="P19" s="10">
        <f>3.11</f>
        <v>3.11</v>
      </c>
      <c r="Q19" s="60">
        <f t="shared" si="4"/>
        <v>0.63182359322750115</v>
      </c>
      <c r="R19" s="61"/>
      <c r="S19" s="16"/>
      <c r="U19" s="17"/>
      <c r="V19" s="76"/>
      <c r="W19" s="76"/>
    </row>
    <row r="20" spans="1:23" s="20" customFormat="1" ht="15">
      <c r="A20" s="10" t="s">
        <v>32</v>
      </c>
      <c r="B20" s="71" t="s">
        <v>33</v>
      </c>
      <c r="C20" s="72"/>
      <c r="D20" s="73"/>
      <c r="E20" s="11">
        <v>1439.1959999999999</v>
      </c>
      <c r="F20" s="19">
        <f t="shared" si="0"/>
        <v>1386.7190000000001</v>
      </c>
      <c r="G20" s="60">
        <f t="shared" si="1"/>
        <v>96.353728053718882</v>
      </c>
      <c r="H20" s="61"/>
      <c r="I20" s="15">
        <f>837.2472-57.434-47.763+6.899</f>
        <v>738.94920000000002</v>
      </c>
      <c r="J20" s="14">
        <f t="shared" si="2"/>
        <v>51.344584059433188</v>
      </c>
      <c r="K20" s="15">
        <f>542.5728+57.434+47.763</f>
        <v>647.76980000000003</v>
      </c>
      <c r="L20" s="60">
        <f t="shared" si="3"/>
        <v>45.009143994285701</v>
      </c>
      <c r="M20" s="61"/>
      <c r="N20" s="10">
        <v>52.23</v>
      </c>
      <c r="O20" s="14">
        <f>N20*100/E20</f>
        <v>3.6291095861856206</v>
      </c>
      <c r="P20" s="10">
        <f>0.247</f>
        <v>0.247</v>
      </c>
      <c r="Q20" s="60">
        <f t="shared" si="4"/>
        <v>1.7162360095497764E-2</v>
      </c>
      <c r="R20" s="61"/>
      <c r="S20" s="16"/>
      <c r="T20"/>
      <c r="U20" s="17"/>
      <c r="V20" s="76"/>
      <c r="W20" s="76"/>
    </row>
    <row r="21" spans="1:23" s="20" customFormat="1" ht="15">
      <c r="A21" s="10" t="s">
        <v>34</v>
      </c>
      <c r="B21" s="71" t="s">
        <v>35</v>
      </c>
      <c r="C21" s="72"/>
      <c r="D21" s="73"/>
      <c r="E21" s="11">
        <v>502.57</v>
      </c>
      <c r="F21" s="19">
        <f t="shared" si="0"/>
        <v>500.45800000000003</v>
      </c>
      <c r="G21" s="60">
        <f t="shared" si="1"/>
        <v>99.579760033428187</v>
      </c>
      <c r="H21" s="61"/>
      <c r="I21" s="15">
        <f>106.227+4.169</f>
        <v>110.396</v>
      </c>
      <c r="J21" s="14">
        <f t="shared" si="2"/>
        <v>21.966293252681218</v>
      </c>
      <c r="K21" s="15">
        <f>388.308+1.754</f>
        <v>390.06200000000001</v>
      </c>
      <c r="L21" s="60">
        <f t="shared" si="3"/>
        <v>77.613466780746975</v>
      </c>
      <c r="M21" s="61"/>
      <c r="N21" s="10">
        <v>2.1120000000000001</v>
      </c>
      <c r="O21" s="14">
        <f>N21*100/E21</f>
        <v>0.42023996657182089</v>
      </c>
      <c r="P21" s="10">
        <v>0</v>
      </c>
      <c r="Q21" s="60">
        <f t="shared" si="4"/>
        <v>0</v>
      </c>
      <c r="R21" s="61"/>
      <c r="S21" s="16"/>
      <c r="T21"/>
      <c r="U21" s="17"/>
      <c r="V21" s="76"/>
      <c r="W21" s="76"/>
    </row>
    <row r="22" spans="1:23" ht="15">
      <c r="A22" s="10" t="s">
        <v>36</v>
      </c>
      <c r="B22" s="71" t="s">
        <v>37</v>
      </c>
      <c r="C22" s="72"/>
      <c r="D22" s="73"/>
      <c r="E22" s="11">
        <v>326.262</v>
      </c>
      <c r="F22" s="19">
        <f t="shared" si="0"/>
        <v>326.262</v>
      </c>
      <c r="G22" s="60">
        <f t="shared" si="1"/>
        <v>100</v>
      </c>
      <c r="H22" s="61"/>
      <c r="I22" s="15">
        <f>168.428+4.264</f>
        <v>172.69200000000001</v>
      </c>
      <c r="J22" s="14">
        <f t="shared" si="2"/>
        <v>52.930466925354473</v>
      </c>
      <c r="K22" s="15">
        <v>153.57</v>
      </c>
      <c r="L22" s="60">
        <f t="shared" si="3"/>
        <v>47.069533074645527</v>
      </c>
      <c r="M22" s="61"/>
      <c r="N22" s="10">
        <v>0</v>
      </c>
      <c r="O22" s="14">
        <v>0</v>
      </c>
      <c r="P22" s="10">
        <v>0</v>
      </c>
      <c r="Q22" s="60">
        <f t="shared" si="4"/>
        <v>0</v>
      </c>
      <c r="R22" s="61"/>
      <c r="S22" s="16"/>
      <c r="U22" s="17"/>
      <c r="V22" s="76"/>
      <c r="W22" s="76"/>
    </row>
    <row r="23" spans="1:23" ht="15">
      <c r="A23" s="10" t="s">
        <v>38</v>
      </c>
      <c r="B23" s="71" t="s">
        <v>39</v>
      </c>
      <c r="C23" s="72"/>
      <c r="D23" s="73"/>
      <c r="E23" s="11">
        <v>571.78200000000004</v>
      </c>
      <c r="F23" s="19">
        <f t="shared" si="0"/>
        <v>405.38200000000001</v>
      </c>
      <c r="G23" s="60">
        <f t="shared" si="1"/>
        <v>70.897999587255271</v>
      </c>
      <c r="H23" s="61"/>
      <c r="I23" s="15">
        <f>166.416+1.377</f>
        <v>167.79300000000001</v>
      </c>
      <c r="J23" s="14">
        <f t="shared" si="2"/>
        <v>29.345624731103808</v>
      </c>
      <c r="K23" s="15">
        <v>237.589</v>
      </c>
      <c r="L23" s="60">
        <f t="shared" si="3"/>
        <v>41.552374856151467</v>
      </c>
      <c r="M23" s="61"/>
      <c r="N23" s="10">
        <v>166.4</v>
      </c>
      <c r="O23" s="14">
        <f>N23*100/E23</f>
        <v>29.102000412744715</v>
      </c>
      <c r="P23" s="10">
        <v>0</v>
      </c>
      <c r="Q23" s="60">
        <f t="shared" si="4"/>
        <v>0</v>
      </c>
      <c r="R23" s="61"/>
      <c r="S23" s="16"/>
      <c r="U23" s="17"/>
      <c r="V23" s="76"/>
      <c r="W23" s="76"/>
    </row>
    <row r="24" spans="1:23" ht="15">
      <c r="A24" s="10" t="s">
        <v>40</v>
      </c>
      <c r="B24" s="71" t="s">
        <v>41</v>
      </c>
      <c r="C24" s="72"/>
      <c r="D24" s="73"/>
      <c r="E24" s="11">
        <v>706.11900000000003</v>
      </c>
      <c r="F24" s="19">
        <f t="shared" si="0"/>
        <v>705.08699999999999</v>
      </c>
      <c r="G24" s="60">
        <f t="shared" si="1"/>
        <v>99.853848997123706</v>
      </c>
      <c r="H24" s="61"/>
      <c r="I24" s="15">
        <f>349.327+3.16</f>
        <v>352.48700000000002</v>
      </c>
      <c r="J24" s="14">
        <f t="shared" si="2"/>
        <v>49.91892301439276</v>
      </c>
      <c r="K24" s="15">
        <v>352.6</v>
      </c>
      <c r="L24" s="60" t="s">
        <v>42</v>
      </c>
      <c r="M24" s="61"/>
      <c r="N24" s="10">
        <v>1.032</v>
      </c>
      <c r="O24" s="14">
        <f>N24*100/E24</f>
        <v>0.14615100287628571</v>
      </c>
      <c r="P24" s="10">
        <v>0</v>
      </c>
      <c r="Q24" s="60">
        <f t="shared" si="4"/>
        <v>0</v>
      </c>
      <c r="R24" s="61"/>
      <c r="S24" s="16"/>
      <c r="U24" s="17"/>
      <c r="V24" s="76"/>
      <c r="W24" s="76"/>
    </row>
    <row r="25" spans="1:23" ht="15">
      <c r="A25" s="10" t="s">
        <v>43</v>
      </c>
      <c r="B25" s="71" t="s">
        <v>44</v>
      </c>
      <c r="C25" s="72"/>
      <c r="D25" s="73"/>
      <c r="E25" s="11">
        <v>362.41</v>
      </c>
      <c r="F25" s="19">
        <f t="shared" si="0"/>
        <v>362.40999999999997</v>
      </c>
      <c r="G25" s="60">
        <f t="shared" si="1"/>
        <v>100</v>
      </c>
      <c r="H25" s="61"/>
      <c r="I25" s="15">
        <f>174.18255+3.133</f>
        <v>177.31555</v>
      </c>
      <c r="J25" s="14">
        <f t="shared" si="2"/>
        <v>48.926781821693659</v>
      </c>
      <c r="K25" s="15">
        <v>185.09444999999999</v>
      </c>
      <c r="L25" s="60">
        <f t="shared" ref="L25:L38" si="5">K25*100/E25</f>
        <v>51.073218178306334</v>
      </c>
      <c r="M25" s="61"/>
      <c r="N25" s="10">
        <v>0</v>
      </c>
      <c r="O25" s="14">
        <v>0</v>
      </c>
      <c r="P25" s="10">
        <v>0</v>
      </c>
      <c r="Q25" s="60">
        <f t="shared" si="4"/>
        <v>0</v>
      </c>
      <c r="R25" s="61"/>
      <c r="S25" s="16"/>
      <c r="U25" s="17"/>
      <c r="V25" s="76"/>
      <c r="W25" s="76"/>
    </row>
    <row r="26" spans="1:23" ht="15">
      <c r="A26" s="10" t="s">
        <v>45</v>
      </c>
      <c r="B26" s="71" t="s">
        <v>46</v>
      </c>
      <c r="C26" s="72"/>
      <c r="D26" s="73"/>
      <c r="E26" s="11">
        <v>747.67100000000005</v>
      </c>
      <c r="F26" s="19">
        <f t="shared" si="0"/>
        <v>746.05500000000006</v>
      </c>
      <c r="G26" s="60">
        <f t="shared" si="1"/>
        <v>99.78386215327329</v>
      </c>
      <c r="H26" s="61"/>
      <c r="I26" s="15">
        <f>457.467+3.963</f>
        <v>461.43</v>
      </c>
      <c r="J26" s="14">
        <f t="shared" si="2"/>
        <v>61.715647657860202</v>
      </c>
      <c r="K26" s="15">
        <v>284.625</v>
      </c>
      <c r="L26" s="60">
        <f t="shared" si="5"/>
        <v>38.068214495413088</v>
      </c>
      <c r="M26" s="61"/>
      <c r="N26" s="10">
        <v>1.6160000000000001</v>
      </c>
      <c r="O26" s="14">
        <f>N26*100/E26</f>
        <v>0.216137846726702</v>
      </c>
      <c r="P26" s="10">
        <v>0</v>
      </c>
      <c r="Q26" s="60">
        <f t="shared" si="4"/>
        <v>0</v>
      </c>
      <c r="R26" s="61"/>
      <c r="S26" s="16"/>
      <c r="U26" s="17"/>
      <c r="V26" s="76"/>
      <c r="W26" s="76"/>
    </row>
    <row r="27" spans="1:23" ht="15">
      <c r="A27" s="10" t="s">
        <v>47</v>
      </c>
      <c r="B27" s="71" t="s">
        <v>48</v>
      </c>
      <c r="C27" s="72"/>
      <c r="D27" s="73"/>
      <c r="E27" s="11">
        <v>516.74199999999996</v>
      </c>
      <c r="F27" s="19">
        <f t="shared" si="0"/>
        <v>516.74199999999996</v>
      </c>
      <c r="G27" s="60">
        <f t="shared" si="1"/>
        <v>100</v>
      </c>
      <c r="H27" s="61"/>
      <c r="I27" s="15">
        <f>375.543+0.66</f>
        <v>376.20300000000003</v>
      </c>
      <c r="J27" s="14">
        <f t="shared" si="2"/>
        <v>72.8028687430091</v>
      </c>
      <c r="K27" s="15">
        <v>140.53899999999999</v>
      </c>
      <c r="L27" s="60">
        <f t="shared" si="5"/>
        <v>27.197131256990914</v>
      </c>
      <c r="M27" s="61"/>
      <c r="N27" s="10">
        <v>0</v>
      </c>
      <c r="O27" s="14">
        <f>N27*100/E27</f>
        <v>0</v>
      </c>
      <c r="P27" s="10">
        <v>0</v>
      </c>
      <c r="Q27" s="60">
        <f t="shared" si="4"/>
        <v>0</v>
      </c>
      <c r="R27" s="61"/>
      <c r="S27" s="16"/>
      <c r="U27" s="17"/>
      <c r="V27" s="76"/>
      <c r="W27" s="76"/>
    </row>
    <row r="28" spans="1:23" ht="15">
      <c r="A28" s="10" t="s">
        <v>49</v>
      </c>
      <c r="B28" s="71" t="s">
        <v>50</v>
      </c>
      <c r="C28" s="72"/>
      <c r="D28" s="73"/>
      <c r="E28" s="11">
        <v>413.90600000000001</v>
      </c>
      <c r="F28" s="19">
        <f t="shared" si="0"/>
        <v>412.54304999999999</v>
      </c>
      <c r="G28" s="60">
        <f t="shared" si="1"/>
        <v>99.670710257884636</v>
      </c>
      <c r="H28" s="61"/>
      <c r="I28" s="15">
        <f>130.4918+12.87</f>
        <v>143.36180000000002</v>
      </c>
      <c r="J28" s="14">
        <f t="shared" si="2"/>
        <v>34.636318391132292</v>
      </c>
      <c r="K28" s="15">
        <v>269.18124999999998</v>
      </c>
      <c r="L28" s="60">
        <f t="shared" si="5"/>
        <v>65.034391866752344</v>
      </c>
      <c r="M28" s="61"/>
      <c r="N28" s="10">
        <v>0</v>
      </c>
      <c r="O28" s="14">
        <v>0</v>
      </c>
      <c r="P28" s="10">
        <f>1.363</f>
        <v>1.363</v>
      </c>
      <c r="Q28" s="60">
        <f t="shared" si="4"/>
        <v>0.32930182215285597</v>
      </c>
      <c r="R28" s="61"/>
      <c r="S28" s="16"/>
      <c r="U28" s="17"/>
      <c r="V28" s="76"/>
      <c r="W28" s="76"/>
    </row>
    <row r="29" spans="1:23" s="20" customFormat="1" ht="15">
      <c r="A29" s="10" t="s">
        <v>51</v>
      </c>
      <c r="B29" s="71" t="s">
        <v>52</v>
      </c>
      <c r="C29" s="72"/>
      <c r="D29" s="73"/>
      <c r="E29" s="11">
        <v>394.99799999999999</v>
      </c>
      <c r="F29" s="19">
        <f t="shared" si="0"/>
        <v>349.40199999999999</v>
      </c>
      <c r="G29" s="60">
        <f t="shared" si="1"/>
        <v>88.456650413419808</v>
      </c>
      <c r="H29" s="61"/>
      <c r="I29" s="15">
        <f>217.768-23.91+1.236</f>
        <v>195.09399999999999</v>
      </c>
      <c r="J29" s="14">
        <f t="shared" si="2"/>
        <v>49.391136157651424</v>
      </c>
      <c r="K29" s="15">
        <f>130.398+23.91</f>
        <v>154.30799999999999</v>
      </c>
      <c r="L29" s="60">
        <f t="shared" si="5"/>
        <v>39.065514255768385</v>
      </c>
      <c r="M29" s="61"/>
      <c r="N29" s="10">
        <f>13.61+31.986</f>
        <v>45.596000000000004</v>
      </c>
      <c r="O29" s="14">
        <f>N29*100/E29</f>
        <v>11.543349586580186</v>
      </c>
      <c r="P29" s="10">
        <v>0</v>
      </c>
      <c r="Q29" s="60">
        <f t="shared" si="4"/>
        <v>0</v>
      </c>
      <c r="R29" s="61"/>
      <c r="S29" s="16"/>
      <c r="T29"/>
      <c r="U29" s="17"/>
      <c r="V29" s="76"/>
      <c r="W29" s="76"/>
    </row>
    <row r="30" spans="1:23" ht="15">
      <c r="A30" s="10" t="s">
        <v>53</v>
      </c>
      <c r="B30" s="71" t="s">
        <v>54</v>
      </c>
      <c r="C30" s="72"/>
      <c r="D30" s="73"/>
      <c r="E30" s="11">
        <v>517.57399999999996</v>
      </c>
      <c r="F30" s="19">
        <f t="shared" si="0"/>
        <v>517.39400000000001</v>
      </c>
      <c r="G30" s="60">
        <f t="shared" si="1"/>
        <v>99.965222364338246</v>
      </c>
      <c r="H30" s="61"/>
      <c r="I30" s="15">
        <f>379.856+1.228</f>
        <v>381.084</v>
      </c>
      <c r="J30" s="14">
        <f t="shared" si="2"/>
        <v>73.628891714035106</v>
      </c>
      <c r="K30" s="15">
        <v>136.31</v>
      </c>
      <c r="L30" s="60">
        <f t="shared" si="5"/>
        <v>26.336330650303147</v>
      </c>
      <c r="M30" s="61"/>
      <c r="N30" s="10">
        <v>0</v>
      </c>
      <c r="O30" s="14">
        <v>0</v>
      </c>
      <c r="P30" s="10">
        <f>0.18</f>
        <v>0.18</v>
      </c>
      <c r="Q30" s="60">
        <f t="shared" si="4"/>
        <v>3.4777635661760446E-2</v>
      </c>
      <c r="R30" s="61"/>
      <c r="S30" s="16"/>
      <c r="U30" s="17"/>
      <c r="V30" s="76"/>
      <c r="W30" s="76"/>
    </row>
    <row r="31" spans="1:23" ht="15">
      <c r="A31" s="10" t="s">
        <v>55</v>
      </c>
      <c r="B31" s="71" t="s">
        <v>56</v>
      </c>
      <c r="C31" s="72"/>
      <c r="D31" s="73"/>
      <c r="E31" s="11">
        <v>819.59799999999996</v>
      </c>
      <c r="F31" s="19">
        <f t="shared" si="0"/>
        <v>819.12</v>
      </c>
      <c r="G31" s="60">
        <f t="shared" si="1"/>
        <v>99.941678725423927</v>
      </c>
      <c r="H31" s="61"/>
      <c r="I31" s="15">
        <f>442.504+4.281</f>
        <v>446.78500000000003</v>
      </c>
      <c r="J31" s="14">
        <f t="shared" si="2"/>
        <v>54.512700128599633</v>
      </c>
      <c r="K31" s="15">
        <v>372.33499999999998</v>
      </c>
      <c r="L31" s="60">
        <f t="shared" si="5"/>
        <v>45.428978596824301</v>
      </c>
      <c r="M31" s="61"/>
      <c r="N31" s="10">
        <v>0</v>
      </c>
      <c r="O31" s="14">
        <f>N31*100/E31</f>
        <v>0</v>
      </c>
      <c r="P31" s="10">
        <f>0.478</f>
        <v>0.47799999999999998</v>
      </c>
      <c r="Q31" s="60">
        <f t="shared" si="4"/>
        <v>5.8321274576072661E-2</v>
      </c>
      <c r="R31" s="61"/>
      <c r="S31" s="16"/>
      <c r="U31" s="17"/>
      <c r="V31" s="76"/>
      <c r="W31" s="76"/>
    </row>
    <row r="32" spans="1:23" s="20" customFormat="1" ht="15">
      <c r="A32" s="10" t="s">
        <v>57</v>
      </c>
      <c r="B32" s="71" t="s">
        <v>58</v>
      </c>
      <c r="C32" s="72"/>
      <c r="D32" s="73"/>
      <c r="E32" s="11">
        <v>258.339</v>
      </c>
      <c r="F32" s="19">
        <f t="shared" si="0"/>
        <v>258.339</v>
      </c>
      <c r="G32" s="60">
        <f t="shared" si="1"/>
        <v>100</v>
      </c>
      <c r="H32" s="61"/>
      <c r="I32" s="15">
        <f>108.525+1.454</f>
        <v>109.979</v>
      </c>
      <c r="J32" s="14">
        <f t="shared" si="2"/>
        <v>42.57158230077534</v>
      </c>
      <c r="K32" s="15">
        <v>148.36000000000001</v>
      </c>
      <c r="L32" s="60">
        <f t="shared" si="5"/>
        <v>57.428417699224667</v>
      </c>
      <c r="M32" s="61"/>
      <c r="N32" s="10">
        <v>0</v>
      </c>
      <c r="O32" s="14">
        <v>0</v>
      </c>
      <c r="P32" s="10">
        <v>0</v>
      </c>
      <c r="Q32" s="60">
        <f t="shared" si="4"/>
        <v>0</v>
      </c>
      <c r="R32" s="61"/>
      <c r="S32" s="16"/>
      <c r="T32"/>
      <c r="U32" s="17"/>
      <c r="V32" s="76"/>
      <c r="W32" s="76"/>
    </row>
    <row r="33" spans="1:23" s="20" customFormat="1" ht="15">
      <c r="A33" s="10" t="s">
        <v>59</v>
      </c>
      <c r="B33" s="71" t="s">
        <v>60</v>
      </c>
      <c r="C33" s="72"/>
      <c r="D33" s="73"/>
      <c r="E33" s="11">
        <v>355.85899999999998</v>
      </c>
      <c r="F33" s="19">
        <f t="shared" si="0"/>
        <v>352.72699999999998</v>
      </c>
      <c r="G33" s="60">
        <f t="shared" si="1"/>
        <v>99.119876130714687</v>
      </c>
      <c r="H33" s="61"/>
      <c r="I33" s="15">
        <f>110.1224+7.011+6.807</f>
        <v>123.9404</v>
      </c>
      <c r="J33" s="14">
        <f t="shared" si="2"/>
        <v>34.828513540475299</v>
      </c>
      <c r="K33" s="15">
        <v>228.78659999999999</v>
      </c>
      <c r="L33" s="60">
        <f t="shared" si="5"/>
        <v>64.291362590239402</v>
      </c>
      <c r="M33" s="61"/>
      <c r="N33" s="10">
        <v>2.4900000000000002</v>
      </c>
      <c r="O33" s="14">
        <v>0</v>
      </c>
      <c r="P33" s="10">
        <f>0.642</f>
        <v>0.64200000000000002</v>
      </c>
      <c r="Q33" s="60">
        <f t="shared" si="4"/>
        <v>0.18040853259296522</v>
      </c>
      <c r="R33" s="61"/>
      <c r="S33" s="16"/>
      <c r="T33"/>
      <c r="U33" s="17"/>
      <c r="V33" s="76"/>
      <c r="W33" s="76"/>
    </row>
    <row r="34" spans="1:23" s="20" customFormat="1" ht="15">
      <c r="A34" s="10" t="s">
        <v>61</v>
      </c>
      <c r="B34" s="71" t="s">
        <v>62</v>
      </c>
      <c r="C34" s="72"/>
      <c r="D34" s="73"/>
      <c r="E34" s="11">
        <v>356.36700000000002</v>
      </c>
      <c r="F34" s="19">
        <f t="shared" si="0"/>
        <v>337.26700000000005</v>
      </c>
      <c r="G34" s="60">
        <f t="shared" si="1"/>
        <v>94.640356710918809</v>
      </c>
      <c r="H34" s="61"/>
      <c r="I34" s="15">
        <f>186.842-4.471+4.905</f>
        <v>187.27600000000001</v>
      </c>
      <c r="J34" s="14">
        <f t="shared" si="2"/>
        <v>52.551442754239311</v>
      </c>
      <c r="K34" s="15">
        <v>149.99100000000001</v>
      </c>
      <c r="L34" s="60">
        <f t="shared" si="5"/>
        <v>42.088913956679491</v>
      </c>
      <c r="M34" s="61"/>
      <c r="N34" s="10">
        <v>19.100000000000001</v>
      </c>
      <c r="O34" s="14">
        <f>N34*100/E34</f>
        <v>5.3596432890812</v>
      </c>
      <c r="P34" s="10">
        <v>0</v>
      </c>
      <c r="Q34" s="60">
        <f t="shared" si="4"/>
        <v>0</v>
      </c>
      <c r="R34" s="61"/>
      <c r="S34" s="16"/>
      <c r="T34"/>
      <c r="U34" s="17"/>
      <c r="V34" s="76"/>
      <c r="W34" s="76"/>
    </row>
    <row r="35" spans="1:23" ht="15">
      <c r="A35" s="10" t="s">
        <v>63</v>
      </c>
      <c r="B35" s="71" t="s">
        <v>64</v>
      </c>
      <c r="C35" s="72"/>
      <c r="D35" s="73"/>
      <c r="E35" s="11">
        <v>241.01900000000001</v>
      </c>
      <c r="F35" s="19">
        <f t="shared" si="0"/>
        <v>232.12</v>
      </c>
      <c r="G35" s="60">
        <f t="shared" si="1"/>
        <v>96.307759969131055</v>
      </c>
      <c r="H35" s="61"/>
      <c r="I35" s="15">
        <f>78.211+5.724</f>
        <v>83.935000000000002</v>
      </c>
      <c r="J35" s="14">
        <f t="shared" si="2"/>
        <v>34.825055286097779</v>
      </c>
      <c r="K35" s="15">
        <v>148.185</v>
      </c>
      <c r="L35" s="60">
        <f t="shared" si="5"/>
        <v>61.482704683033283</v>
      </c>
      <c r="M35" s="61"/>
      <c r="N35" s="10">
        <v>4.1719999999999997</v>
      </c>
      <c r="O35" s="14">
        <v>0</v>
      </c>
      <c r="P35" s="10">
        <f>4.727</f>
        <v>4.7270000000000003</v>
      </c>
      <c r="Q35" s="60">
        <f t="shared" si="4"/>
        <v>1.9612561665262906</v>
      </c>
      <c r="R35" s="61"/>
      <c r="S35" s="16"/>
      <c r="U35" s="17"/>
      <c r="V35" s="76"/>
      <c r="W35" s="76"/>
    </row>
    <row r="36" spans="1:23" ht="15">
      <c r="A36" s="10" t="s">
        <v>65</v>
      </c>
      <c r="B36" s="71" t="s">
        <v>66</v>
      </c>
      <c r="C36" s="72"/>
      <c r="D36" s="73"/>
      <c r="E36" s="11">
        <v>776.66200000000003</v>
      </c>
      <c r="F36" s="19">
        <f t="shared" si="0"/>
        <v>701.59</v>
      </c>
      <c r="G36" s="60">
        <f t="shared" si="1"/>
        <v>90.33401917436413</v>
      </c>
      <c r="H36" s="61"/>
      <c r="I36" s="15">
        <f>186.8355-4.479+39.77</f>
        <v>222.12649999999999</v>
      </c>
      <c r="J36" s="14">
        <f t="shared" si="2"/>
        <v>28.600150387169705</v>
      </c>
      <c r="K36" s="13">
        <v>479.46350000000001</v>
      </c>
      <c r="L36" s="60">
        <f t="shared" si="5"/>
        <v>61.733868787194424</v>
      </c>
      <c r="M36" s="61"/>
      <c r="N36" s="10">
        <f>65.137+5.252</f>
        <v>70.388999999999996</v>
      </c>
      <c r="O36" s="14">
        <f>N36*100/E36</f>
        <v>9.0630158292796601</v>
      </c>
      <c r="P36" s="10">
        <f>4.683</f>
        <v>4.6829999999999998</v>
      </c>
      <c r="Q36" s="60">
        <f t="shared" si="4"/>
        <v>0.60296499635620115</v>
      </c>
      <c r="R36" s="61"/>
      <c r="S36" s="16"/>
      <c r="U36" s="17"/>
      <c r="V36" s="76"/>
      <c r="W36" s="76"/>
    </row>
    <row r="37" spans="1:23" ht="15">
      <c r="A37" s="10" t="s">
        <v>67</v>
      </c>
      <c r="B37" s="71" t="s">
        <v>68</v>
      </c>
      <c r="C37" s="72"/>
      <c r="D37" s="73"/>
      <c r="E37" s="11">
        <v>252.851</v>
      </c>
      <c r="F37" s="19">
        <f t="shared" si="0"/>
        <v>252.851</v>
      </c>
      <c r="G37" s="60">
        <f t="shared" si="1"/>
        <v>100</v>
      </c>
      <c r="H37" s="61"/>
      <c r="I37" s="15">
        <f>58.786+6.077</f>
        <v>64.863</v>
      </c>
      <c r="J37" s="14">
        <f t="shared" si="2"/>
        <v>25.652657098449286</v>
      </c>
      <c r="K37" s="13">
        <v>187.988</v>
      </c>
      <c r="L37" s="60">
        <f t="shared" si="5"/>
        <v>74.347342901550718</v>
      </c>
      <c r="M37" s="61"/>
      <c r="N37" s="10">
        <v>0</v>
      </c>
      <c r="O37" s="14">
        <v>0</v>
      </c>
      <c r="P37" s="10">
        <v>0</v>
      </c>
      <c r="Q37" s="60">
        <f t="shared" si="4"/>
        <v>0</v>
      </c>
      <c r="R37" s="61"/>
      <c r="S37" s="16"/>
      <c r="U37" s="17"/>
      <c r="V37" s="76"/>
      <c r="W37" s="76"/>
    </row>
    <row r="38" spans="1:23" s="7" customFormat="1" ht="23.25" customHeight="1">
      <c r="A38" s="63" t="s">
        <v>69</v>
      </c>
      <c r="B38" s="64"/>
      <c r="C38" s="64"/>
      <c r="D38" s="65"/>
      <c r="E38" s="11">
        <f>SUM(E12:E37)</f>
        <v>14486.402000000002</v>
      </c>
      <c r="F38" s="21">
        <f>SUM(F12:F37)</f>
        <v>14017.572050000002</v>
      </c>
      <c r="G38" s="60">
        <f t="shared" si="1"/>
        <v>96.763654977957955</v>
      </c>
      <c r="H38" s="61"/>
      <c r="I38" s="15">
        <f>SUM(I12:I37)</f>
        <v>6893.9345500000018</v>
      </c>
      <c r="J38" s="14">
        <f t="shared" si="2"/>
        <v>47.58900484744246</v>
      </c>
      <c r="K38" s="22">
        <f>SUM(K12:K37)</f>
        <v>7123.6374999999998</v>
      </c>
      <c r="L38" s="60">
        <f t="shared" si="5"/>
        <v>49.174650130515495</v>
      </c>
      <c r="M38" s="61"/>
      <c r="N38" s="10">
        <f>SUM(N12:N37)</f>
        <v>452.46100000000007</v>
      </c>
      <c r="O38" s="14">
        <f>N38*100/E38</f>
        <v>3.123349745506165</v>
      </c>
      <c r="P38" s="10">
        <f>SUM(P12:P37)</f>
        <v>16.369</v>
      </c>
      <c r="Q38" s="60">
        <f t="shared" si="4"/>
        <v>0.11299562168715184</v>
      </c>
      <c r="R38" s="61"/>
      <c r="U38" s="17"/>
      <c r="V38" s="76"/>
      <c r="W38" s="76"/>
    </row>
    <row r="39" spans="1:23" s="7" customFormat="1" ht="8.25" customHeight="1">
      <c r="A39" s="23"/>
      <c r="B39" s="23"/>
      <c r="C39" s="23"/>
      <c r="D39" s="23"/>
      <c r="E39" s="24"/>
      <c r="F39" s="18"/>
      <c r="G39" s="18"/>
      <c r="H39" s="18"/>
      <c r="I39" s="25"/>
      <c r="J39" s="18"/>
      <c r="K39" s="25"/>
      <c r="L39" s="18"/>
      <c r="M39" s="18"/>
      <c r="N39" s="9"/>
      <c r="O39" s="9"/>
      <c r="P39" s="9"/>
      <c r="Q39" s="9"/>
      <c r="R39" s="9"/>
    </row>
    <row r="40" spans="1:23" s="7" customFormat="1" ht="16.5" customHeight="1">
      <c r="A40" s="40" t="s">
        <v>70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23" s="7" customFormat="1" ht="15.75" customHeight="1">
      <c r="A41" s="62" t="s">
        <v>71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9"/>
    </row>
    <row r="42" spans="1:23" ht="9.9499999999999993" customHeight="1">
      <c r="A42" s="1"/>
      <c r="B42" s="26"/>
      <c r="C42" s="26"/>
      <c r="D42" s="26"/>
      <c r="E42" s="26"/>
      <c r="F42" s="26"/>
      <c r="G42" s="27"/>
      <c r="H42" s="27"/>
      <c r="I42" s="28"/>
      <c r="J42" s="29"/>
      <c r="K42" s="29"/>
      <c r="L42" s="29"/>
      <c r="M42" s="27"/>
      <c r="N42" s="1"/>
      <c r="O42" s="1"/>
      <c r="P42" s="1"/>
      <c r="Q42" s="1"/>
      <c r="R42" s="1"/>
    </row>
    <row r="43" spans="1:23" ht="23.45" customHeight="1">
      <c r="A43" s="30" t="s">
        <v>72</v>
      </c>
      <c r="B43" s="26"/>
      <c r="C43" s="26"/>
      <c r="D43" s="26"/>
      <c r="E43" s="26"/>
      <c r="F43" s="26"/>
      <c r="G43" s="67" t="s">
        <v>73</v>
      </c>
      <c r="H43" s="67"/>
      <c r="I43" s="67"/>
      <c r="J43" s="67"/>
      <c r="K43" s="1"/>
      <c r="L43" s="68" t="s">
        <v>74</v>
      </c>
      <c r="M43" s="68"/>
      <c r="N43" s="1"/>
      <c r="O43" s="1"/>
      <c r="P43" s="31"/>
      <c r="Q43" s="1"/>
      <c r="R43" s="1"/>
    </row>
    <row r="44" spans="1:23" ht="9.9499999999999993" customHeight="1">
      <c r="A44" s="1"/>
      <c r="B44" s="27"/>
      <c r="C44" s="27"/>
      <c r="D44" s="27"/>
      <c r="E44" s="27"/>
      <c r="F44" s="32"/>
      <c r="G44" s="66" t="s">
        <v>75</v>
      </c>
      <c r="H44" s="66"/>
      <c r="I44" s="66"/>
      <c r="J44" s="66"/>
      <c r="K44" s="1"/>
      <c r="L44" s="66" t="s">
        <v>76</v>
      </c>
      <c r="M44" s="66"/>
      <c r="N44" s="1"/>
      <c r="O44" s="1"/>
      <c r="P44" s="33" t="s">
        <v>77</v>
      </c>
      <c r="Q44" s="1"/>
      <c r="R44" s="1"/>
    </row>
    <row r="45" spans="1:23" s="34" customFormat="1" ht="18.75" customHeight="1">
      <c r="C45" s="69" t="s">
        <v>78</v>
      </c>
      <c r="D45" s="69"/>
      <c r="E45" s="69"/>
      <c r="M45" s="69" t="s">
        <v>79</v>
      </c>
      <c r="N45" s="69"/>
      <c r="O45" s="69"/>
    </row>
    <row r="46" spans="1:23" s="34" customFormat="1" ht="14.25" customHeight="1">
      <c r="C46" s="66" t="s">
        <v>80</v>
      </c>
      <c r="D46" s="66"/>
      <c r="E46" s="66"/>
      <c r="F46" s="1"/>
      <c r="G46" s="1"/>
      <c r="H46" s="1"/>
      <c r="I46" s="1"/>
      <c r="J46" s="1"/>
      <c r="K46" s="1"/>
      <c r="L46" s="1"/>
      <c r="M46" s="66" t="s">
        <v>81</v>
      </c>
      <c r="N46" s="66"/>
      <c r="O46" s="66"/>
    </row>
    <row r="47" spans="1:23" s="34" customFormat="1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23" s="34" customFormat="1" ht="15.75" customHeight="1"/>
    <row r="49" spans="1:13" s="34" customFormat="1" ht="15.75" customHeight="1"/>
    <row r="50" spans="1:13" s="34" customFormat="1" ht="15.75" customHeight="1"/>
    <row r="51" spans="1:13" ht="15.7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3" ht="15.7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3" ht="15.7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 ht="15.7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ht="15.7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ht="15.7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ht="15.7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 ht="15.7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 ht="15.7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1:13" ht="15.7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1" spans="1:13" ht="15.7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</row>
    <row r="62" spans="1:13" ht="15.7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3" ht="15.7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</row>
    <row r="64" spans="1:13" ht="15.7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1:13" ht="15.7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</sheetData>
  <mergeCells count="169">
    <mergeCell ref="G37:H37"/>
    <mergeCell ref="G36:H36"/>
    <mergeCell ref="G32:H32"/>
    <mergeCell ref="G31:H31"/>
    <mergeCell ref="G35:H35"/>
    <mergeCell ref="G34:H34"/>
    <mergeCell ref="G33:H33"/>
    <mergeCell ref="G30:H30"/>
    <mergeCell ref="G29:H29"/>
    <mergeCell ref="Q25:R25"/>
    <mergeCell ref="Q31:R31"/>
    <mergeCell ref="Q32:R32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8:H28"/>
    <mergeCell ref="G27:H27"/>
    <mergeCell ref="G26:H26"/>
    <mergeCell ref="G25:H25"/>
    <mergeCell ref="V29:W29"/>
    <mergeCell ref="V28:W28"/>
    <mergeCell ref="V27:W27"/>
    <mergeCell ref="V26:W26"/>
    <mergeCell ref="Q37:R37"/>
    <mergeCell ref="Q36:R36"/>
    <mergeCell ref="Q35:R35"/>
    <mergeCell ref="Q34:R34"/>
    <mergeCell ref="Q33:R33"/>
    <mergeCell ref="Q30:R30"/>
    <mergeCell ref="Q29:R29"/>
    <mergeCell ref="Q28:R28"/>
    <mergeCell ref="Q27:R27"/>
    <mergeCell ref="Q26:R26"/>
    <mergeCell ref="V38:W38"/>
    <mergeCell ref="V37:W37"/>
    <mergeCell ref="V36:W36"/>
    <mergeCell ref="V35:W35"/>
    <mergeCell ref="V33:W33"/>
    <mergeCell ref="V34:W34"/>
    <mergeCell ref="V32:W32"/>
    <mergeCell ref="V31:W31"/>
    <mergeCell ref="V30:W30"/>
    <mergeCell ref="B23:D23"/>
    <mergeCell ref="B31:D31"/>
    <mergeCell ref="B32:D32"/>
    <mergeCell ref="B37:D37"/>
    <mergeCell ref="B36:D36"/>
    <mergeCell ref="B35:D35"/>
    <mergeCell ref="B34:D34"/>
    <mergeCell ref="B33:D33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V25:W25"/>
    <mergeCell ref="L26:M26"/>
    <mergeCell ref="L25:M25"/>
    <mergeCell ref="L24:M24"/>
    <mergeCell ref="L36:M36"/>
    <mergeCell ref="L37:M37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30:D30"/>
    <mergeCell ref="B29:D29"/>
    <mergeCell ref="B28:D28"/>
    <mergeCell ref="B27:D27"/>
    <mergeCell ref="B26:D26"/>
    <mergeCell ref="B25:D25"/>
    <mergeCell ref="B24:D24"/>
    <mergeCell ref="Q24:R24"/>
    <mergeCell ref="A40:R40"/>
    <mergeCell ref="A41:Q41"/>
    <mergeCell ref="A38:D38"/>
    <mergeCell ref="Q38:R38"/>
    <mergeCell ref="G38:H38"/>
    <mergeCell ref="G44:J44"/>
    <mergeCell ref="G43:J43"/>
    <mergeCell ref="M46:O46"/>
    <mergeCell ref="L44:M44"/>
    <mergeCell ref="L43:M43"/>
    <mergeCell ref="M45:O45"/>
    <mergeCell ref="C46:E46"/>
    <mergeCell ref="C45:E45"/>
    <mergeCell ref="L38:M38"/>
    <mergeCell ref="L35:M35"/>
    <mergeCell ref="L34:M34"/>
    <mergeCell ref="L32:M32"/>
    <mergeCell ref="L33:M33"/>
    <mergeCell ref="L31:M31"/>
    <mergeCell ref="L30:M30"/>
    <mergeCell ref="L29:M29"/>
    <mergeCell ref="L28:M28"/>
    <mergeCell ref="L27:M27"/>
    <mergeCell ref="L20:M20"/>
    <mergeCell ref="L21:M21"/>
    <mergeCell ref="L22:M22"/>
    <mergeCell ref="L23:M23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Q10:R10"/>
    <mergeCell ref="N9:O9"/>
    <mergeCell ref="K9:M9"/>
    <mergeCell ref="A9:A10"/>
    <mergeCell ref="B9:D10"/>
    <mergeCell ref="L10:M10"/>
    <mergeCell ref="E9:E10"/>
    <mergeCell ref="I9:J9"/>
    <mergeCell ref="G10:H10"/>
    <mergeCell ref="A2:R2"/>
    <mergeCell ref="K1:M1"/>
    <mergeCell ref="A3:R3"/>
    <mergeCell ref="F4:M4"/>
    <mergeCell ref="A6:R6"/>
    <mergeCell ref="A7:R7"/>
    <mergeCell ref="U9:W9"/>
    <mergeCell ref="F9:H9"/>
    <mergeCell ref="P9:R9"/>
  </mergeCells>
  <pageMargins left="0.27559071779251099" right="0.19685050845146199" top="0.19685050845146199" bottom="0.19685050845146199" header="0.51181101799011197" footer="0.51181101799011197"/>
  <pageSetup paperSize="9" scale="7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2.1</vt:lpstr>
      <vt:lpstr>'2.1'!Область_печати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2023-09-13T10:02:55Z</dcterms:created>
  <dcterms:modified xsi:type="dcterms:W3CDTF">2023-09-13T10:02:55Z</dcterms:modified>
</cp:coreProperties>
</file>